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6225"/>
  </bookViews>
  <sheets>
    <sheet name="Contract sept_realiz+suplim oct" sheetId="1" r:id="rId1"/>
  </sheets>
  <definedNames>
    <definedName name="_xlnm.Print_Area" localSheetId="0">'Contract sept_realiz+suplim oct'!$A$1:$S$42</definedName>
  </definedNames>
  <calcPr calcId="145621"/>
</workbook>
</file>

<file path=xl/calcChain.xml><?xml version="1.0" encoding="utf-8"?>
<calcChain xmlns="http://schemas.openxmlformats.org/spreadsheetml/2006/main">
  <c r="P38" i="1" l="1"/>
  <c r="O38" i="1"/>
  <c r="R38" i="1" s="1"/>
  <c r="N38" i="1"/>
  <c r="L38" i="1"/>
  <c r="J38" i="1"/>
  <c r="F38" i="1"/>
  <c r="S38" i="1" s="1"/>
  <c r="R37" i="1"/>
  <c r="P37" i="1"/>
  <c r="N37" i="1"/>
  <c r="J37" i="1"/>
  <c r="G37" i="1"/>
  <c r="E37" i="1"/>
  <c r="F37" i="1" s="1"/>
  <c r="S37" i="1" s="1"/>
  <c r="M36" i="1"/>
  <c r="L36" i="1"/>
  <c r="R35" i="1"/>
  <c r="N35" i="1"/>
  <c r="K35" i="1"/>
  <c r="K36" i="1" s="1"/>
  <c r="I35" i="1"/>
  <c r="I36" i="1" s="1"/>
  <c r="H35" i="1"/>
  <c r="H36" i="1" s="1"/>
  <c r="G35" i="1"/>
  <c r="J35" i="1" s="1"/>
  <c r="E35" i="1"/>
  <c r="E36" i="1" s="1"/>
  <c r="D35" i="1"/>
  <c r="D36" i="1" s="1"/>
  <c r="C35" i="1"/>
  <c r="F35" i="1" s="1"/>
  <c r="Q34" i="1"/>
  <c r="Q36" i="1" s="1"/>
  <c r="P34" i="1"/>
  <c r="P36" i="1" s="1"/>
  <c r="O34" i="1"/>
  <c r="R34" i="1" s="1"/>
  <c r="N34" i="1"/>
  <c r="N36" i="1" s="1"/>
  <c r="J34" i="1"/>
  <c r="G34" i="1"/>
  <c r="G36" i="1" s="1"/>
  <c r="C34" i="1"/>
  <c r="C36" i="1" s="1"/>
  <c r="F36" i="1" s="1"/>
  <c r="R33" i="1"/>
  <c r="P33" i="1"/>
  <c r="L33" i="1"/>
  <c r="N33" i="1" s="1"/>
  <c r="S33" i="1" s="1"/>
  <c r="J33" i="1"/>
  <c r="F33" i="1"/>
  <c r="R32" i="1"/>
  <c r="P32" i="1"/>
  <c r="L32" i="1"/>
  <c r="K32" i="1"/>
  <c r="N32" i="1" s="1"/>
  <c r="I32" i="1"/>
  <c r="H32" i="1"/>
  <c r="G32" i="1"/>
  <c r="J32" i="1" s="1"/>
  <c r="E32" i="1"/>
  <c r="D32" i="1"/>
  <c r="C32" i="1"/>
  <c r="F32" i="1" s="1"/>
  <c r="P31" i="1"/>
  <c r="R31" i="1" s="1"/>
  <c r="N31" i="1"/>
  <c r="M31" i="1"/>
  <c r="L31" i="1"/>
  <c r="K31" i="1"/>
  <c r="J31" i="1"/>
  <c r="I31" i="1"/>
  <c r="H31" i="1"/>
  <c r="G31" i="1"/>
  <c r="F31" i="1"/>
  <c r="E31" i="1"/>
  <c r="D31" i="1"/>
  <c r="C31" i="1"/>
  <c r="R30" i="1"/>
  <c r="P30" i="1"/>
  <c r="L30" i="1"/>
  <c r="K30" i="1"/>
  <c r="N30" i="1" s="1"/>
  <c r="H30" i="1"/>
  <c r="G30" i="1"/>
  <c r="J30" i="1" s="1"/>
  <c r="F30" i="1"/>
  <c r="C30" i="1"/>
  <c r="R29" i="1"/>
  <c r="P29" i="1"/>
  <c r="M29" i="1"/>
  <c r="L29" i="1"/>
  <c r="K29" i="1"/>
  <c r="N29" i="1" s="1"/>
  <c r="I29" i="1"/>
  <c r="H29" i="1"/>
  <c r="G29" i="1"/>
  <c r="J29" i="1" s="1"/>
  <c r="E29" i="1"/>
  <c r="D29" i="1"/>
  <c r="C29" i="1"/>
  <c r="F29" i="1" s="1"/>
  <c r="P28" i="1"/>
  <c r="R28" i="1" s="1"/>
  <c r="N28" i="1"/>
  <c r="M28" i="1"/>
  <c r="J28" i="1"/>
  <c r="F28" i="1"/>
  <c r="S28" i="1" s="1"/>
  <c r="Q27" i="1"/>
  <c r="O27" i="1"/>
  <c r="R26" i="1"/>
  <c r="N26" i="1"/>
  <c r="K26" i="1"/>
  <c r="I26" i="1"/>
  <c r="H26" i="1"/>
  <c r="G26" i="1"/>
  <c r="J26" i="1" s="1"/>
  <c r="E26" i="1"/>
  <c r="D26" i="1"/>
  <c r="C26" i="1"/>
  <c r="F26" i="1" s="1"/>
  <c r="P25" i="1"/>
  <c r="R25" i="1" s="1"/>
  <c r="R27" i="1" s="1"/>
  <c r="M25" i="1"/>
  <c r="M27" i="1" s="1"/>
  <c r="L25" i="1"/>
  <c r="L27" i="1" s="1"/>
  <c r="K25" i="1"/>
  <c r="K27" i="1" s="1"/>
  <c r="I25" i="1"/>
  <c r="I27" i="1" s="1"/>
  <c r="H25" i="1"/>
  <c r="H27" i="1" s="1"/>
  <c r="G25" i="1"/>
  <c r="G27" i="1" s="1"/>
  <c r="E25" i="1"/>
  <c r="E27" i="1" s="1"/>
  <c r="D25" i="1"/>
  <c r="D27" i="1" s="1"/>
  <c r="C25" i="1"/>
  <c r="C27" i="1" s="1"/>
  <c r="P24" i="1"/>
  <c r="R24" i="1" s="1"/>
  <c r="N24" i="1"/>
  <c r="M24" i="1"/>
  <c r="L24" i="1"/>
  <c r="K24" i="1"/>
  <c r="J24" i="1"/>
  <c r="I24" i="1"/>
  <c r="G24" i="1"/>
  <c r="E24" i="1"/>
  <c r="C24" i="1"/>
  <c r="F24" i="1" s="1"/>
  <c r="S24" i="1" s="1"/>
  <c r="Q23" i="1"/>
  <c r="Q39" i="1" s="1"/>
  <c r="O23" i="1"/>
  <c r="R22" i="1"/>
  <c r="P22" i="1"/>
  <c r="M22" i="1"/>
  <c r="L22" i="1"/>
  <c r="K22" i="1"/>
  <c r="N22" i="1" s="1"/>
  <c r="I22" i="1"/>
  <c r="H22" i="1"/>
  <c r="G22" i="1"/>
  <c r="J22" i="1" s="1"/>
  <c r="E22" i="1"/>
  <c r="D22" i="1"/>
  <c r="C22" i="1"/>
  <c r="F22" i="1" s="1"/>
  <c r="S22" i="1" s="1"/>
  <c r="P21" i="1"/>
  <c r="R21" i="1" s="1"/>
  <c r="R23" i="1" s="1"/>
  <c r="M21" i="1"/>
  <c r="M23" i="1" s="1"/>
  <c r="L21" i="1"/>
  <c r="L23" i="1" s="1"/>
  <c r="K21" i="1"/>
  <c r="N21" i="1" s="1"/>
  <c r="I21" i="1"/>
  <c r="I23" i="1" s="1"/>
  <c r="H21" i="1"/>
  <c r="H23" i="1" s="1"/>
  <c r="G21" i="1"/>
  <c r="J21" i="1" s="1"/>
  <c r="E21" i="1"/>
  <c r="E23" i="1" s="1"/>
  <c r="D21" i="1"/>
  <c r="D23" i="1" s="1"/>
  <c r="C21" i="1"/>
  <c r="F21" i="1" s="1"/>
  <c r="P20" i="1"/>
  <c r="O20" i="1"/>
  <c r="M20" i="1"/>
  <c r="M39" i="1" s="1"/>
  <c r="L20" i="1"/>
  <c r="K20" i="1"/>
  <c r="I20" i="1"/>
  <c r="I39" i="1" s="1"/>
  <c r="H20" i="1"/>
  <c r="H39" i="1" s="1"/>
  <c r="G20" i="1"/>
  <c r="E20" i="1"/>
  <c r="D20" i="1"/>
  <c r="D39" i="1" s="1"/>
  <c r="C20" i="1"/>
  <c r="P16" i="1"/>
  <c r="R16" i="1" s="1"/>
  <c r="M16" i="1"/>
  <c r="L16" i="1"/>
  <c r="K16" i="1"/>
  <c r="N16" i="1" s="1"/>
  <c r="I16" i="1"/>
  <c r="H16" i="1"/>
  <c r="G16" i="1"/>
  <c r="J16" i="1" s="1"/>
  <c r="E16" i="1"/>
  <c r="D16" i="1"/>
  <c r="C16" i="1"/>
  <c r="F16" i="1" s="1"/>
  <c r="Q15" i="1"/>
  <c r="Q17" i="1" s="1"/>
  <c r="Q40" i="1" s="1"/>
  <c r="P14" i="1"/>
  <c r="R14" i="1" s="1"/>
  <c r="M14" i="1"/>
  <c r="K14" i="1"/>
  <c r="N14" i="1" s="1"/>
  <c r="I14" i="1"/>
  <c r="H14" i="1"/>
  <c r="G14" i="1"/>
  <c r="J14" i="1" s="1"/>
  <c r="E14" i="1"/>
  <c r="D14" i="1"/>
  <c r="C14" i="1"/>
  <c r="F14" i="1" s="1"/>
  <c r="S14" i="1" s="1"/>
  <c r="P13" i="1"/>
  <c r="P15" i="1" s="1"/>
  <c r="O13" i="1"/>
  <c r="O15" i="1" s="1"/>
  <c r="M13" i="1"/>
  <c r="M15" i="1" s="1"/>
  <c r="L13" i="1"/>
  <c r="L15" i="1" s="1"/>
  <c r="K13" i="1"/>
  <c r="N13" i="1" s="1"/>
  <c r="J13" i="1"/>
  <c r="I13" i="1"/>
  <c r="I15" i="1" s="1"/>
  <c r="H13" i="1"/>
  <c r="H15" i="1" s="1"/>
  <c r="G13" i="1"/>
  <c r="G15" i="1" s="1"/>
  <c r="F13" i="1"/>
  <c r="E13" i="1"/>
  <c r="E15" i="1" s="1"/>
  <c r="D13" i="1"/>
  <c r="D15" i="1" s="1"/>
  <c r="C13" i="1"/>
  <c r="C15" i="1" s="1"/>
  <c r="R12" i="1"/>
  <c r="P12" i="1"/>
  <c r="O12" i="1"/>
  <c r="M12" i="1"/>
  <c r="N12" i="1" s="1"/>
  <c r="L12" i="1"/>
  <c r="K12" i="1"/>
  <c r="I12" i="1"/>
  <c r="J12" i="1" s="1"/>
  <c r="H12" i="1"/>
  <c r="G12" i="1"/>
  <c r="E12" i="1"/>
  <c r="F12" i="1" s="1"/>
  <c r="S12" i="1" s="1"/>
  <c r="D12" i="1"/>
  <c r="C12" i="1"/>
  <c r="R11" i="1"/>
  <c r="P11" i="1"/>
  <c r="O11" i="1"/>
  <c r="M11" i="1"/>
  <c r="N11" i="1" s="1"/>
  <c r="L11" i="1"/>
  <c r="K11" i="1"/>
  <c r="I11" i="1"/>
  <c r="J11" i="1" s="1"/>
  <c r="H11" i="1"/>
  <c r="G11" i="1"/>
  <c r="E11" i="1"/>
  <c r="F11" i="1" s="1"/>
  <c r="S11" i="1" s="1"/>
  <c r="D11" i="1"/>
  <c r="C11" i="1"/>
  <c r="R10" i="1"/>
  <c r="P10" i="1"/>
  <c r="O10" i="1"/>
  <c r="M10" i="1"/>
  <c r="N10" i="1" s="1"/>
  <c r="L10" i="1"/>
  <c r="K10" i="1"/>
  <c r="I10" i="1"/>
  <c r="J10" i="1" s="1"/>
  <c r="H10" i="1"/>
  <c r="G10" i="1"/>
  <c r="E10" i="1"/>
  <c r="F10" i="1" s="1"/>
  <c r="S10" i="1" s="1"/>
  <c r="D10" i="1"/>
  <c r="C10" i="1"/>
  <c r="R9" i="1"/>
  <c r="P9" i="1"/>
  <c r="O9" i="1"/>
  <c r="M9" i="1"/>
  <c r="N9" i="1" s="1"/>
  <c r="L9" i="1"/>
  <c r="K9" i="1"/>
  <c r="I9" i="1"/>
  <c r="J9" i="1" s="1"/>
  <c r="H9" i="1"/>
  <c r="G9" i="1"/>
  <c r="E9" i="1"/>
  <c r="F9" i="1" s="1"/>
  <c r="S9" i="1" s="1"/>
  <c r="D9" i="1"/>
  <c r="C9" i="1"/>
  <c r="R8" i="1"/>
  <c r="P8" i="1"/>
  <c r="P17" i="1" s="1"/>
  <c r="O8" i="1"/>
  <c r="O17" i="1" s="1"/>
  <c r="M8" i="1"/>
  <c r="L8" i="1"/>
  <c r="K8" i="1"/>
  <c r="I8" i="1"/>
  <c r="I17" i="1" s="1"/>
  <c r="I40" i="1" s="1"/>
  <c r="H8" i="1"/>
  <c r="G8" i="1"/>
  <c r="G17" i="1" s="1"/>
  <c r="E8" i="1"/>
  <c r="E17" i="1" s="1"/>
  <c r="D8" i="1"/>
  <c r="D17" i="1" s="1"/>
  <c r="D40" i="1" s="1"/>
  <c r="C8" i="1"/>
  <c r="C17" i="1" s="1"/>
  <c r="H17" i="1" l="1"/>
  <c r="H40" i="1" s="1"/>
  <c r="M17" i="1"/>
  <c r="M40" i="1" s="1"/>
  <c r="J15" i="1"/>
  <c r="L39" i="1"/>
  <c r="S21" i="1"/>
  <c r="J27" i="1"/>
  <c r="F27" i="1"/>
  <c r="S31" i="1"/>
  <c r="S35" i="1"/>
  <c r="L17" i="1"/>
  <c r="L40" i="1" s="1"/>
  <c r="S16" i="1"/>
  <c r="E39" i="1"/>
  <c r="E40" i="1" s="1"/>
  <c r="S26" i="1"/>
  <c r="S29" i="1"/>
  <c r="S30" i="1"/>
  <c r="S32" i="1"/>
  <c r="J36" i="1"/>
  <c r="S36" i="1" s="1"/>
  <c r="N8" i="1"/>
  <c r="F15" i="1"/>
  <c r="R20" i="1"/>
  <c r="C23" i="1"/>
  <c r="F23" i="1" s="1"/>
  <c r="G23" i="1"/>
  <c r="J23" i="1" s="1"/>
  <c r="K23" i="1"/>
  <c r="N23" i="1" s="1"/>
  <c r="F34" i="1"/>
  <c r="S34" i="1" s="1"/>
  <c r="R13" i="1"/>
  <c r="R15" i="1" s="1"/>
  <c r="R17" i="1" s="1"/>
  <c r="K15" i="1"/>
  <c r="N15" i="1" s="1"/>
  <c r="F20" i="1"/>
  <c r="J20" i="1"/>
  <c r="N20" i="1"/>
  <c r="P23" i="1"/>
  <c r="P39" i="1" s="1"/>
  <c r="P40" i="1" s="1"/>
  <c r="F25" i="1"/>
  <c r="S25" i="1" s="1"/>
  <c r="J25" i="1"/>
  <c r="N25" i="1"/>
  <c r="N27" i="1" s="1"/>
  <c r="O36" i="1"/>
  <c r="R36" i="1" s="1"/>
  <c r="J8" i="1"/>
  <c r="J17" i="1" s="1"/>
  <c r="P27" i="1"/>
  <c r="F8" i="1"/>
  <c r="N17" i="1" l="1"/>
  <c r="C39" i="1"/>
  <c r="C40" i="1" s="1"/>
  <c r="S8" i="1"/>
  <c r="F17" i="1"/>
  <c r="S23" i="1"/>
  <c r="G39" i="1"/>
  <c r="G40" i="1" s="1"/>
  <c r="J39" i="1"/>
  <c r="R39" i="1"/>
  <c r="R40" i="1" s="1"/>
  <c r="S13" i="1"/>
  <c r="K17" i="1"/>
  <c r="K40" i="1" s="1"/>
  <c r="N40" i="1" s="1"/>
  <c r="J40" i="1"/>
  <c r="F39" i="1"/>
  <c r="S20" i="1"/>
  <c r="S15" i="1"/>
  <c r="K39" i="1"/>
  <c r="N39" i="1" s="1"/>
  <c r="O39" i="1"/>
  <c r="O40" i="1" s="1"/>
  <c r="S27" i="1"/>
  <c r="S39" i="1" l="1"/>
  <c r="F40" i="1"/>
  <c r="S17" i="1"/>
  <c r="S40" i="1" s="1"/>
</calcChain>
</file>

<file path=xl/sharedStrings.xml><?xml version="1.0" encoding="utf-8"?>
<sst xmlns="http://schemas.openxmlformats.org/spreadsheetml/2006/main" count="72" uniqueCount="52">
  <si>
    <t>CASA DE ASIGURARI DE SANATATE</t>
  </si>
  <si>
    <t>BISTRITA-NASAUD</t>
  </si>
  <si>
    <t>CONTRACT DE SERVICII MEDICALE PARACLINICE AN 2016</t>
  </si>
  <si>
    <t>Anexa la 1192/27,10,2016</t>
  </si>
  <si>
    <r>
      <t xml:space="preserve">                              BUGET AN 2016=</t>
    </r>
    <r>
      <rPr>
        <b/>
        <sz val="11"/>
        <color rgb="FFFF0000"/>
        <rFont val="Calibri"/>
        <family val="2"/>
        <charset val="238"/>
        <scheme val="minor"/>
      </rPr>
      <t>3.615.000,00 LEI</t>
    </r>
  </si>
  <si>
    <t>ANALIZE LABORATOR</t>
  </si>
  <si>
    <t>NR.CRT</t>
  </si>
  <si>
    <t>FURNIZORI</t>
  </si>
  <si>
    <t>IAN</t>
  </si>
  <si>
    <t>FEB</t>
  </si>
  <si>
    <t>MART</t>
  </si>
  <si>
    <t>TRIM. I</t>
  </si>
  <si>
    <t>APR</t>
  </si>
  <si>
    <t>MAI</t>
  </si>
  <si>
    <t>IUN</t>
  </si>
  <si>
    <t>TRIM. II</t>
  </si>
  <si>
    <t xml:space="preserve">IUL </t>
  </si>
  <si>
    <t>AUG</t>
  </si>
  <si>
    <t>SEPT</t>
  </si>
  <si>
    <t>TRIM.III</t>
  </si>
  <si>
    <t>OCT</t>
  </si>
  <si>
    <t>NOV</t>
  </si>
  <si>
    <t>DEC</t>
  </si>
  <si>
    <t>TRIM.IV</t>
  </si>
  <si>
    <t>TOTAL AN</t>
  </si>
  <si>
    <t>SC DORNA MEDICAL SRL</t>
  </si>
  <si>
    <t>SC MURIVISAN BISTRITA</t>
  </si>
  <si>
    <t>SC MURIVISAN BECLEAN</t>
  </si>
  <si>
    <t>SC OPTIMUS MEDICA SRL</t>
  </si>
  <si>
    <t>SC HOLISTIC SRL</t>
  </si>
  <si>
    <t>SPITAL JUD B-TA- ANALIZE</t>
  </si>
  <si>
    <t>SPITAL JUD B-TA- HISTOPA</t>
  </si>
  <si>
    <t>SPITAL OR.NASAUD- HISTOPA</t>
  </si>
  <si>
    <t>TOTAL</t>
  </si>
  <si>
    <t>RADIOLOGIE SI IMAGISTICA</t>
  </si>
  <si>
    <t>SC HIPERDIA SA</t>
  </si>
  <si>
    <t>SC MURIVISAN SRL-CT+RMN</t>
  </si>
  <si>
    <t>SC MURIVISAN SRL-RADIOLOGIE</t>
  </si>
  <si>
    <t>ADIT MURIVISAN-ECOGRAFII</t>
  </si>
  <si>
    <t>SPITAL JUD BISTRITA-RADIOLOGIE</t>
  </si>
  <si>
    <t>SPITAL JUD BISTRITA-EKG</t>
  </si>
  <si>
    <t>ADIT SP.JUD BISTRITA-ECOGRAFII</t>
  </si>
  <si>
    <t>SPITAL ORAS BECLEAN-RADIOLOGIE</t>
  </si>
  <si>
    <t>ADIT SP.OR.BECLEAN-ECOGRAFII</t>
  </si>
  <si>
    <t>SPITAL ORAS NASAUD-RADIOLOGIE</t>
  </si>
  <si>
    <t>ADIT SP.OR.NASAUD-ECOGRAFII</t>
  </si>
  <si>
    <t>ADIT CLINICA SANOVIL-ECOGRAFII</t>
  </si>
  <si>
    <t>ADIT CMI CHIRLEJAN MIHAELA-ECOGRAFII</t>
  </si>
  <si>
    <t>ADIT CMI CHIRLEJAN MIHAELA-EKG</t>
  </si>
  <si>
    <t>ADIT CMI MARIASIU MIHAI-ECOGRAFII</t>
  </si>
  <si>
    <t>SC GAMMA MEDICAL SRL-SCINTIGRAFII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</si>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</sst>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.5"/>
      <color rgb="FF0000FF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5" xfId="0" applyFont="1" applyBorder="1"/>
    <xf numFmtId="0" fontId="6" fillId="0" borderId="6" xfId="0" applyFont="1" applyBorder="1"/>
    <xf numFmtId="4" fontId="0" fillId="0" borderId="5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4" fontId="5" fillId="0" borderId="9" xfId="0" applyNumberFormat="1" applyFont="1" applyBorder="1"/>
    <xf numFmtId="4" fontId="5" fillId="0" borderId="5" xfId="0" applyNumberFormat="1" applyFont="1" applyBorder="1"/>
    <xf numFmtId="4" fontId="4" fillId="0" borderId="10" xfId="0" applyNumberFormat="1" applyFont="1" applyBorder="1"/>
    <xf numFmtId="0" fontId="0" fillId="0" borderId="11" xfId="0" applyFont="1" applyBorder="1"/>
    <xf numFmtId="0" fontId="6" fillId="0" borderId="12" xfId="0" applyFont="1" applyBorder="1"/>
    <xf numFmtId="4" fontId="0" fillId="0" borderId="11" xfId="0" applyNumberFormat="1" applyFont="1" applyBorder="1"/>
    <xf numFmtId="4" fontId="0" fillId="0" borderId="13" xfId="0" applyNumberFormat="1" applyFont="1" applyBorder="1"/>
    <xf numFmtId="4" fontId="0" fillId="0" borderId="14" xfId="0" applyNumberFormat="1" applyFont="1" applyBorder="1"/>
    <xf numFmtId="4" fontId="5" fillId="0" borderId="11" xfId="0" applyNumberFormat="1" applyFont="1" applyBorder="1"/>
    <xf numFmtId="0" fontId="0" fillId="0" borderId="15" xfId="0" applyFont="1" applyBorder="1"/>
    <xf numFmtId="0" fontId="7" fillId="0" borderId="16" xfId="0" applyFont="1" applyBorder="1"/>
    <xf numFmtId="4" fontId="5" fillId="0" borderId="15" xfId="0" applyNumberFormat="1" applyFont="1" applyBorder="1"/>
    <xf numFmtId="4" fontId="5" fillId="0" borderId="17" xfId="0" applyNumberFormat="1" applyFont="1" applyBorder="1"/>
    <xf numFmtId="4" fontId="5" fillId="0" borderId="18" xfId="0" applyNumberFormat="1" applyFont="1" applyBorder="1"/>
    <xf numFmtId="0" fontId="0" fillId="0" borderId="19" xfId="0" applyFont="1" applyBorder="1"/>
    <xf numFmtId="0" fontId="6" fillId="0" borderId="20" xfId="0" applyFont="1" applyBorder="1"/>
    <xf numFmtId="4" fontId="0" fillId="0" borderId="15" xfId="0" applyNumberFormat="1" applyFont="1" applyBorder="1"/>
    <xf numFmtId="4" fontId="0" fillId="0" borderId="17" xfId="0" applyNumberFormat="1" applyFont="1" applyBorder="1"/>
    <xf numFmtId="4" fontId="0" fillId="0" borderId="18" xfId="0" applyNumberFormat="1" applyFont="1" applyBorder="1"/>
    <xf numFmtId="0" fontId="2" fillId="0" borderId="1" xfId="0" applyFont="1" applyBorder="1"/>
    <xf numFmtId="0" fontId="2" fillId="0" borderId="2" xfId="0" applyFont="1" applyFill="1" applyBorder="1"/>
    <xf numFmtId="4" fontId="2" fillId="0" borderId="1" xfId="0" applyNumberFormat="1" applyFont="1" applyBorder="1"/>
    <xf numFmtId="4" fontId="2" fillId="0" borderId="3" xfId="0" applyNumberFormat="1" applyFont="1" applyBorder="1"/>
    <xf numFmtId="4" fontId="2" fillId="0" borderId="2" xfId="0" applyNumberFormat="1" applyFont="1" applyBorder="1"/>
    <xf numFmtId="4" fontId="2" fillId="0" borderId="4" xfId="0" applyNumberFormat="1" applyFont="1" applyBorder="1"/>
    <xf numFmtId="0" fontId="2" fillId="0" borderId="0" xfId="0" applyFont="1" applyBorder="1"/>
    <xf numFmtId="0" fontId="0" fillId="0" borderId="0" xfId="0" applyFont="1" applyBorder="1"/>
    <xf numFmtId="0" fontId="5" fillId="0" borderId="0" xfId="0" applyFont="1"/>
    <xf numFmtId="0" fontId="2" fillId="0" borderId="3" xfId="0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6" fillId="0" borderId="5" xfId="0" applyFont="1" applyBorder="1"/>
    <xf numFmtId="4" fontId="0" fillId="0" borderId="21" xfId="0" applyNumberFormat="1" applyFont="1" applyBorder="1"/>
    <xf numFmtId="4" fontId="8" fillId="0" borderId="5" xfId="0" applyNumberFormat="1" applyFont="1" applyBorder="1"/>
    <xf numFmtId="4" fontId="4" fillId="0" borderId="5" xfId="0" applyNumberFormat="1" applyFont="1" applyBorder="1"/>
    <xf numFmtId="0" fontId="6" fillId="0" borderId="11" xfId="0" applyFont="1" applyBorder="1"/>
    <xf numFmtId="4" fontId="8" fillId="0" borderId="13" xfId="0" applyNumberFormat="1" applyFont="1" applyBorder="1"/>
    <xf numFmtId="4" fontId="4" fillId="0" borderId="11" xfId="0" applyNumberFormat="1" applyFont="1" applyBorder="1"/>
    <xf numFmtId="0" fontId="9" fillId="0" borderId="11" xfId="0" applyFont="1" applyBorder="1"/>
    <xf numFmtId="4" fontId="5" fillId="0" borderId="13" xfId="0" applyNumberFormat="1" applyFont="1" applyBorder="1"/>
    <xf numFmtId="4" fontId="8" fillId="0" borderId="11" xfId="0" applyNumberFormat="1" applyFont="1" applyBorder="1"/>
    <xf numFmtId="0" fontId="6" fillId="0" borderId="15" xfId="0" applyFont="1" applyBorder="1"/>
    <xf numFmtId="0" fontId="9" fillId="0" borderId="15" xfId="0" applyFont="1" applyBorder="1"/>
    <xf numFmtId="0" fontId="6" fillId="0" borderId="19" xfId="0" applyFont="1" applyBorder="1"/>
    <xf numFmtId="4" fontId="0" fillId="0" borderId="19" xfId="0" applyNumberFormat="1" applyFont="1" applyBorder="1"/>
    <xf numFmtId="4" fontId="5" fillId="0" borderId="19" xfId="0" applyNumberFormat="1" applyFont="1" applyBorder="1"/>
    <xf numFmtId="4" fontId="4" fillId="0" borderId="19" xfId="0" applyNumberFormat="1" applyFont="1" applyBorder="1"/>
    <xf numFmtId="0" fontId="0" fillId="0" borderId="1" xfId="0" applyFont="1" applyBorder="1"/>
    <xf numFmtId="0" fontId="2" fillId="0" borderId="4" xfId="0" applyFont="1" applyBorder="1"/>
    <xf numFmtId="0" fontId="2" fillId="0" borderId="22" xfId="0" applyFont="1" applyBorder="1"/>
    <xf numFmtId="0" fontId="2" fillId="0" borderId="22" xfId="0" applyFont="1" applyFill="1" applyBorder="1"/>
    <xf numFmtId="4" fontId="2" fillId="0" borderId="23" xfId="0" applyNumberFormat="1" applyFont="1" applyBorder="1"/>
    <xf numFmtId="4" fontId="2" fillId="0" borderId="24" xfId="0" applyNumberFormat="1" applyFont="1" applyBorder="1"/>
    <xf numFmtId="4" fontId="2" fillId="0" borderId="25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selection activeCell="A41" sqref="A41:B42"/>
    </sheetView>
  </sheetViews>
  <sheetFormatPr defaultColWidth="9" defaultRowHeight="15" x14ac:dyDescent="0.25"/>
  <cols>
    <col min="1" max="1" width="4" customWidth="1"/>
    <col min="2" max="2" width="30.28515625" customWidth="1"/>
    <col min="3" max="5" width="9.85546875" customWidth="1"/>
    <col min="6" max="6" width="11.85546875" customWidth="1"/>
    <col min="7" max="8" width="9.85546875" customWidth="1"/>
    <col min="9" max="10" width="10" customWidth="1"/>
    <col min="11" max="11" width="9.85546875" customWidth="1"/>
    <col min="12" max="12" width="10.42578125" customWidth="1"/>
    <col min="13" max="13" width="10.7109375" customWidth="1"/>
    <col min="14" max="15" width="10.42578125" customWidth="1"/>
    <col min="16" max="16" width="9.85546875" customWidth="1"/>
    <col min="17" max="18" width="10.140625" customWidth="1"/>
    <col min="19" max="19" width="11.5703125" customWidth="1"/>
  </cols>
  <sheetData>
    <row r="1" spans="1:19" x14ac:dyDescent="0.25">
      <c r="B1" s="1" t="s">
        <v>0</v>
      </c>
      <c r="D1" s="1"/>
      <c r="E1" s="1"/>
      <c r="F1" s="1"/>
    </row>
    <row r="2" spans="1:19" x14ac:dyDescent="0.25">
      <c r="B2" s="1" t="s">
        <v>1</v>
      </c>
      <c r="D2" s="1"/>
      <c r="E2" s="1"/>
      <c r="F2" s="1"/>
      <c r="H2" s="1"/>
      <c r="I2" s="1"/>
      <c r="J2" s="1"/>
      <c r="L2" s="1"/>
      <c r="M2" s="1"/>
      <c r="N2" s="1"/>
      <c r="O2" s="1"/>
    </row>
    <row r="3" spans="1:19" x14ac:dyDescent="0.25">
      <c r="D3" s="1"/>
      <c r="E3" s="1"/>
      <c r="F3" s="1"/>
      <c r="H3" s="1"/>
      <c r="I3" s="1"/>
      <c r="J3" s="1"/>
      <c r="L3" s="1"/>
      <c r="M3" s="1"/>
      <c r="N3" s="1"/>
      <c r="O3" s="1"/>
    </row>
    <row r="4" spans="1:19" x14ac:dyDescent="0.25">
      <c r="C4" s="2"/>
      <c r="D4" s="2"/>
      <c r="E4" s="2"/>
      <c r="F4" s="2"/>
      <c r="I4" s="2" t="s">
        <v>2</v>
      </c>
      <c r="J4" s="2"/>
      <c r="K4" s="2"/>
      <c r="L4" s="2"/>
    </row>
    <row r="5" spans="1:19" x14ac:dyDescent="0.25">
      <c r="B5" s="2" t="s">
        <v>3</v>
      </c>
      <c r="D5" s="2"/>
      <c r="E5" s="3"/>
      <c r="F5" s="3"/>
      <c r="G5" s="3"/>
      <c r="H5" s="3"/>
      <c r="J5" s="2" t="s">
        <v>4</v>
      </c>
      <c r="K5" s="3"/>
      <c r="L5" s="3"/>
      <c r="M5" s="3"/>
      <c r="N5" s="3"/>
    </row>
    <row r="6" spans="1:19" ht="15.75" thickBot="1" x14ac:dyDescent="0.3">
      <c r="A6" s="4"/>
      <c r="B6" s="2" t="s">
        <v>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4.5" customHeight="1" thickBot="1" x14ac:dyDescent="0.3">
      <c r="A7" s="5" t="s">
        <v>6</v>
      </c>
      <c r="B7" s="6" t="s">
        <v>7</v>
      </c>
      <c r="C7" s="7" t="s">
        <v>8</v>
      </c>
      <c r="D7" s="8" t="s">
        <v>9</v>
      </c>
      <c r="E7" s="9" t="s">
        <v>10</v>
      </c>
      <c r="F7" s="10" t="s">
        <v>11</v>
      </c>
      <c r="G7" s="11" t="s">
        <v>12</v>
      </c>
      <c r="H7" s="12" t="s">
        <v>13</v>
      </c>
      <c r="I7" s="13" t="s">
        <v>14</v>
      </c>
      <c r="J7" s="14" t="s">
        <v>15</v>
      </c>
      <c r="K7" s="13" t="s">
        <v>16</v>
      </c>
      <c r="L7" s="15" t="s">
        <v>17</v>
      </c>
      <c r="M7" s="13" t="s">
        <v>18</v>
      </c>
      <c r="N7" s="14" t="s">
        <v>19</v>
      </c>
      <c r="O7" s="13" t="s">
        <v>20</v>
      </c>
      <c r="P7" s="15" t="s">
        <v>21</v>
      </c>
      <c r="Q7" s="12" t="s">
        <v>22</v>
      </c>
      <c r="R7" s="10" t="s">
        <v>23</v>
      </c>
      <c r="S7" s="16" t="s">
        <v>24</v>
      </c>
    </row>
    <row r="8" spans="1:19" x14ac:dyDescent="0.25">
      <c r="A8" s="17">
        <v>1</v>
      </c>
      <c r="B8" s="18" t="s">
        <v>25</v>
      </c>
      <c r="C8" s="19">
        <f>35336-5.24</f>
        <v>35330.76</v>
      </c>
      <c r="D8" s="20">
        <f>35336+141-19.58</f>
        <v>35457.42</v>
      </c>
      <c r="E8" s="21">
        <f>35336+141+11.58-18.88</f>
        <v>35469.700000000004</v>
      </c>
      <c r="F8" s="22">
        <f>SUM(C8:E8)</f>
        <v>106257.88</v>
      </c>
      <c r="G8" s="20">
        <f>35336-14.16</f>
        <v>35321.839999999997</v>
      </c>
      <c r="H8" s="19">
        <f>35332-0.38</f>
        <v>35331.620000000003</v>
      </c>
      <c r="I8" s="20">
        <f>35331-14.99</f>
        <v>35316.01</v>
      </c>
      <c r="J8" s="23">
        <f t="shared" ref="J8:J16" si="0">SUM(G8:I8)</f>
        <v>105969.47</v>
      </c>
      <c r="K8" s="20">
        <f>35331-3.95</f>
        <v>35327.050000000003</v>
      </c>
      <c r="L8" s="19">
        <f>34282-0.69</f>
        <v>34281.31</v>
      </c>
      <c r="M8" s="20">
        <f>33734-4.22</f>
        <v>33729.78</v>
      </c>
      <c r="N8" s="23">
        <f>SUM(K8:M8)</f>
        <v>103338.14</v>
      </c>
      <c r="O8" s="20">
        <f>33734+5357</f>
        <v>39091</v>
      </c>
      <c r="P8" s="19">
        <f>15619+20190</f>
        <v>35809</v>
      </c>
      <c r="Q8" s="20">
        <v>29102</v>
      </c>
      <c r="R8" s="22">
        <f>O8+P8+Q8</f>
        <v>104002</v>
      </c>
      <c r="S8" s="24">
        <f>F8+J8+N8+R8</f>
        <v>419567.49</v>
      </c>
    </row>
    <row r="9" spans="1:19" x14ac:dyDescent="0.25">
      <c r="A9" s="25">
        <v>2</v>
      </c>
      <c r="B9" s="26" t="s">
        <v>26</v>
      </c>
      <c r="C9" s="27">
        <f>32560+115.33</f>
        <v>32675.33</v>
      </c>
      <c r="D9" s="28">
        <f>32560+144+200+3270-3275.08</f>
        <v>32898.92</v>
      </c>
      <c r="E9" s="29">
        <f>32560+144-3270+1593.9+2215.07</f>
        <v>33242.97</v>
      </c>
      <c r="F9" s="30">
        <f t="shared" ref="F9:F12" si="1">SUM(C9:E9)</f>
        <v>98817.22</v>
      </c>
      <c r="G9" s="28">
        <f>32560+3754.68</f>
        <v>36314.68</v>
      </c>
      <c r="H9" s="27">
        <f>32731+3.56</f>
        <v>32734.560000000001</v>
      </c>
      <c r="I9" s="28">
        <f>32730-4.2</f>
        <v>32725.8</v>
      </c>
      <c r="J9" s="22">
        <f t="shared" si="0"/>
        <v>101775.04000000001</v>
      </c>
      <c r="K9" s="28">
        <f>32730-9.36</f>
        <v>32720.639999999999</v>
      </c>
      <c r="L9" s="27">
        <f>33765+17</f>
        <v>33782</v>
      </c>
      <c r="M9" s="28">
        <f>33217+873.09</f>
        <v>34090.089999999997</v>
      </c>
      <c r="N9" s="22">
        <f t="shared" ref="N9:N16" si="2">SUM(K9:M9)</f>
        <v>100592.73</v>
      </c>
      <c r="O9" s="28">
        <f>33217+5275</f>
        <v>38492</v>
      </c>
      <c r="P9" s="27">
        <f>15359+19881</f>
        <v>35240</v>
      </c>
      <c r="Q9" s="28">
        <v>28656</v>
      </c>
      <c r="R9" s="30">
        <f t="shared" ref="R9:R12" si="3">O9+P9+Q9</f>
        <v>102388</v>
      </c>
      <c r="S9" s="24">
        <f>F9+J9+N9+R9</f>
        <v>403572.99</v>
      </c>
    </row>
    <row r="10" spans="1:19" x14ac:dyDescent="0.25">
      <c r="A10" s="25">
        <v>3</v>
      </c>
      <c r="B10" s="26" t="s">
        <v>27</v>
      </c>
      <c r="C10" s="27">
        <f>13853-132.35</f>
        <v>13720.65</v>
      </c>
      <c r="D10" s="28">
        <f>13853+46+1390+2595.18</f>
        <v>17884.18</v>
      </c>
      <c r="E10" s="29">
        <f>13853+46-1390-3105.58</f>
        <v>9403.42</v>
      </c>
      <c r="F10" s="30">
        <f t="shared" si="1"/>
        <v>41008.25</v>
      </c>
      <c r="G10" s="28">
        <f>13853-3747.42</f>
        <v>10105.58</v>
      </c>
      <c r="H10" s="27">
        <f>13907-90.19</f>
        <v>13816.81</v>
      </c>
      <c r="I10" s="28">
        <f>13906-10.3</f>
        <v>13895.7</v>
      </c>
      <c r="J10" s="22">
        <f t="shared" si="0"/>
        <v>37818.089999999997</v>
      </c>
      <c r="K10" s="28">
        <f>13906+0.34</f>
        <v>13906.34</v>
      </c>
      <c r="L10" s="27">
        <f>21985+53.92</f>
        <v>22038.92</v>
      </c>
      <c r="M10" s="28">
        <f>21437-336.25</f>
        <v>21100.75</v>
      </c>
      <c r="N10" s="22">
        <f t="shared" si="2"/>
        <v>57046.009999999995</v>
      </c>
      <c r="O10" s="28">
        <f>21437+3393</f>
        <v>24830</v>
      </c>
      <c r="P10" s="27">
        <f>9471+12787</f>
        <v>22258</v>
      </c>
      <c r="Q10" s="28">
        <v>18430</v>
      </c>
      <c r="R10" s="30">
        <f t="shared" si="3"/>
        <v>65518</v>
      </c>
      <c r="S10" s="24">
        <f t="shared" ref="S10:S16" si="4">F10+J10+N10+R10</f>
        <v>201390.34999999998</v>
      </c>
    </row>
    <row r="11" spans="1:19" x14ac:dyDescent="0.25">
      <c r="A11" s="25">
        <v>4</v>
      </c>
      <c r="B11" s="26" t="s">
        <v>28</v>
      </c>
      <c r="C11" s="27">
        <f>33574-59.23</f>
        <v>33514.769999999997</v>
      </c>
      <c r="D11" s="28">
        <f>33574+119+3369-355.84</f>
        <v>36706.160000000003</v>
      </c>
      <c r="E11" s="29">
        <f>33574+119-3369+355.84-5.09</f>
        <v>30674.75</v>
      </c>
      <c r="F11" s="30">
        <f t="shared" si="1"/>
        <v>100895.67999999999</v>
      </c>
      <c r="G11" s="28">
        <f>33574-0.6</f>
        <v>33573.4</v>
      </c>
      <c r="H11" s="27">
        <f>33713+310.33</f>
        <v>34023.33</v>
      </c>
      <c r="I11" s="28">
        <f>33712-2.29</f>
        <v>33709.71</v>
      </c>
      <c r="J11" s="22">
        <f t="shared" si="0"/>
        <v>101306.44</v>
      </c>
      <c r="K11" s="28">
        <f>33712-57.34</f>
        <v>33654.660000000003</v>
      </c>
      <c r="L11" s="27">
        <f>32052-1.56</f>
        <v>32050.44</v>
      </c>
      <c r="M11" s="28">
        <f>31504-0.04</f>
        <v>31503.96</v>
      </c>
      <c r="N11" s="22">
        <f t="shared" si="2"/>
        <v>97209.06</v>
      </c>
      <c r="O11" s="28">
        <f>31504+5001</f>
        <v>36505</v>
      </c>
      <c r="P11" s="27">
        <f>14505+18848</f>
        <v>33353</v>
      </c>
      <c r="Q11" s="28">
        <v>27167</v>
      </c>
      <c r="R11" s="30">
        <f t="shared" si="3"/>
        <v>97025</v>
      </c>
      <c r="S11" s="24">
        <f t="shared" si="4"/>
        <v>396436.18</v>
      </c>
    </row>
    <row r="12" spans="1:19" x14ac:dyDescent="0.25">
      <c r="A12" s="25">
        <v>5</v>
      </c>
      <c r="B12" s="26" t="s">
        <v>29</v>
      </c>
      <c r="C12" s="27">
        <f>36377-1.15</f>
        <v>36375.85</v>
      </c>
      <c r="D12" s="28">
        <f>36377-537+3584-270.25</f>
        <v>39153.75</v>
      </c>
      <c r="E12" s="29">
        <f>36379-537-3584+270.25-28.51</f>
        <v>32499.74</v>
      </c>
      <c r="F12" s="30">
        <f t="shared" si="1"/>
        <v>108029.34000000001</v>
      </c>
      <c r="G12" s="28">
        <f>36379-10.52</f>
        <v>36368.480000000003</v>
      </c>
      <c r="H12" s="27">
        <f>35863-566.74</f>
        <v>35296.26</v>
      </c>
      <c r="I12" s="28">
        <f>35863+566.74-246.05</f>
        <v>36183.689999999995</v>
      </c>
      <c r="J12" s="22">
        <f t="shared" si="0"/>
        <v>107848.43</v>
      </c>
      <c r="K12" s="28">
        <f>35863-0.8</f>
        <v>35862.199999999997</v>
      </c>
      <c r="L12" s="27">
        <f>35968+0.08</f>
        <v>35968.080000000002</v>
      </c>
      <c r="M12" s="28">
        <f>35420-26.13</f>
        <v>35393.870000000003</v>
      </c>
      <c r="N12" s="22">
        <f t="shared" si="2"/>
        <v>107224.15</v>
      </c>
      <c r="O12" s="28">
        <f>35420+5627</f>
        <v>41047</v>
      </c>
      <c r="P12" s="27">
        <f>16460+21205</f>
        <v>37665</v>
      </c>
      <c r="Q12" s="28">
        <v>30565</v>
      </c>
      <c r="R12" s="30">
        <f t="shared" si="3"/>
        <v>109277</v>
      </c>
      <c r="S12" s="24">
        <f t="shared" si="4"/>
        <v>432378.92000000004</v>
      </c>
    </row>
    <row r="13" spans="1:19" x14ac:dyDescent="0.25">
      <c r="A13" s="25">
        <v>6</v>
      </c>
      <c r="B13" s="26" t="s">
        <v>30</v>
      </c>
      <c r="C13" s="27">
        <f>20516+3906.35</f>
        <v>24422.35</v>
      </c>
      <c r="D13" s="28">
        <f>20516+87+5932.49</f>
        <v>26535.489999999998</v>
      </c>
      <c r="E13" s="29">
        <f>20518+87+5638.95</f>
        <v>26243.95</v>
      </c>
      <c r="F13" s="30">
        <f>SUM(C13:E13)</f>
        <v>77201.789999999994</v>
      </c>
      <c r="G13" s="28">
        <f>20518+4676.39</f>
        <v>25194.39</v>
      </c>
      <c r="H13" s="27">
        <f>20620+960.42</f>
        <v>21580.42</v>
      </c>
      <c r="I13" s="28">
        <f>20619+3838.66</f>
        <v>24457.66</v>
      </c>
      <c r="J13" s="22">
        <f t="shared" si="0"/>
        <v>71232.47</v>
      </c>
      <c r="K13" s="28">
        <f>20619+2309.87</f>
        <v>22928.87</v>
      </c>
      <c r="L13" s="27">
        <f>24195-209.61</f>
        <v>23985.39</v>
      </c>
      <c r="M13" s="28">
        <f>23645-33.36</f>
        <v>23611.64</v>
      </c>
      <c r="N13" s="22">
        <f t="shared" si="2"/>
        <v>70525.899999999994</v>
      </c>
      <c r="O13" s="28">
        <f>23645+3717</f>
        <v>27362</v>
      </c>
      <c r="P13" s="27">
        <f>10572+14009</f>
        <v>24581</v>
      </c>
      <c r="Q13" s="28">
        <v>20192</v>
      </c>
      <c r="R13" s="30">
        <f>O13+P13+Q13</f>
        <v>72135</v>
      </c>
      <c r="S13" s="24">
        <f t="shared" si="4"/>
        <v>291095.16000000003</v>
      </c>
    </row>
    <row r="14" spans="1:19" x14ac:dyDescent="0.25">
      <c r="A14" s="25">
        <v>6</v>
      </c>
      <c r="B14" s="26" t="s">
        <v>31</v>
      </c>
      <c r="C14" s="27">
        <f>2900-1960</f>
        <v>940</v>
      </c>
      <c r="D14" s="28">
        <f>2900-480</f>
        <v>2420</v>
      </c>
      <c r="E14" s="29">
        <f>2900-250</f>
        <v>2650</v>
      </c>
      <c r="F14" s="30">
        <f t="shared" ref="F14" si="5">SUM(C14:E14)</f>
        <v>6010</v>
      </c>
      <c r="G14" s="28">
        <f>2900+90</f>
        <v>2990</v>
      </c>
      <c r="H14" s="27">
        <f>2963-3</f>
        <v>2960</v>
      </c>
      <c r="I14" s="28">
        <f>2962-552</f>
        <v>2410</v>
      </c>
      <c r="J14" s="22">
        <f t="shared" si="0"/>
        <v>8360</v>
      </c>
      <c r="K14" s="28">
        <f>2962-672</f>
        <v>2290</v>
      </c>
      <c r="L14" s="27">
        <v>1200</v>
      </c>
      <c r="M14" s="28">
        <f>1200-30</f>
        <v>1170</v>
      </c>
      <c r="N14" s="22">
        <f t="shared" si="2"/>
        <v>4660</v>
      </c>
      <c r="O14" s="28">
        <v>1200</v>
      </c>
      <c r="P14" s="27">
        <f>602+722</f>
        <v>1324</v>
      </c>
      <c r="Q14" s="28">
        <v>1232</v>
      </c>
      <c r="R14" s="30">
        <f>O14+P14+Q14</f>
        <v>3756</v>
      </c>
      <c r="S14" s="24">
        <f t="shared" si="4"/>
        <v>22786</v>
      </c>
    </row>
    <row r="15" spans="1:19" x14ac:dyDescent="0.25">
      <c r="A15" s="31"/>
      <c r="B15" s="32"/>
      <c r="C15" s="33">
        <f>SUM(C13:C14)</f>
        <v>25362.35</v>
      </c>
      <c r="D15" s="34">
        <f>SUM(D13:D14)</f>
        <v>28955.489999999998</v>
      </c>
      <c r="E15" s="35">
        <f>SUM(E13:E14)</f>
        <v>28893.95</v>
      </c>
      <c r="F15" s="30">
        <f>F13+F14</f>
        <v>83211.789999999994</v>
      </c>
      <c r="G15" s="34">
        <f>SUM(G13:G14)</f>
        <v>28184.39</v>
      </c>
      <c r="H15" s="33">
        <f>SUM(H13:H14)</f>
        <v>24540.42</v>
      </c>
      <c r="I15" s="34">
        <f>SUM(I13:I14)</f>
        <v>26867.66</v>
      </c>
      <c r="J15" s="22">
        <f t="shared" si="0"/>
        <v>79592.47</v>
      </c>
      <c r="K15" s="34">
        <f>SUM(K13:K14)</f>
        <v>25218.87</v>
      </c>
      <c r="L15" s="33">
        <f>SUM(L13:L14)</f>
        <v>25185.39</v>
      </c>
      <c r="M15" s="34">
        <f>SUM(M13:M14)</f>
        <v>24781.64</v>
      </c>
      <c r="N15" s="22">
        <f t="shared" si="2"/>
        <v>75185.899999999994</v>
      </c>
      <c r="O15" s="34">
        <f>SUM(O13:O14)</f>
        <v>28562</v>
      </c>
      <c r="P15" s="33">
        <f>SUM(P13:P14)</f>
        <v>25905</v>
      </c>
      <c r="Q15" s="34">
        <f>SUM(Q13:Q14)</f>
        <v>21424</v>
      </c>
      <c r="R15" s="30">
        <f>SUM(R13:R14)</f>
        <v>75891</v>
      </c>
      <c r="S15" s="24">
        <f t="shared" si="4"/>
        <v>313881.16000000003</v>
      </c>
    </row>
    <row r="16" spans="1:19" ht="15.75" thickBot="1" x14ac:dyDescent="0.3">
      <c r="A16" s="36">
        <v>7</v>
      </c>
      <c r="B16" s="37" t="s">
        <v>32</v>
      </c>
      <c r="C16" s="38">
        <f>2100-1980</f>
        <v>120</v>
      </c>
      <c r="D16" s="39">
        <f>2100-1850</f>
        <v>250</v>
      </c>
      <c r="E16" s="40">
        <f>2048-1688</f>
        <v>360</v>
      </c>
      <c r="F16" s="33">
        <f t="shared" ref="F16" si="6">SUM(C16:E16)</f>
        <v>730</v>
      </c>
      <c r="G16" s="39">
        <f>2048-1158</f>
        <v>890</v>
      </c>
      <c r="H16" s="38">
        <f>2303-1433</f>
        <v>870</v>
      </c>
      <c r="I16" s="39">
        <f>2303-1413</f>
        <v>890</v>
      </c>
      <c r="J16" s="22">
        <f t="shared" si="0"/>
        <v>2650</v>
      </c>
      <c r="K16" s="39">
        <f>2303-1513</f>
        <v>790</v>
      </c>
      <c r="L16" s="38">
        <f>594+16</f>
        <v>610</v>
      </c>
      <c r="M16" s="39">
        <f>594+166</f>
        <v>760</v>
      </c>
      <c r="N16" s="22">
        <f t="shared" si="2"/>
        <v>2160</v>
      </c>
      <c r="O16" s="39">
        <v>594</v>
      </c>
      <c r="P16" s="38">
        <f>300+358</f>
        <v>658</v>
      </c>
      <c r="Q16" s="39">
        <v>611.1</v>
      </c>
      <c r="R16" s="33">
        <f>O16+P16+Q16</f>
        <v>1863.1</v>
      </c>
      <c r="S16" s="24">
        <f t="shared" si="4"/>
        <v>7403.1</v>
      </c>
    </row>
    <row r="17" spans="1:19" ht="15.75" thickBot="1" x14ac:dyDescent="0.3">
      <c r="A17" s="41"/>
      <c r="B17" s="42" t="s">
        <v>33</v>
      </c>
      <c r="C17" s="43">
        <f t="shared" ref="C17:J17" si="7">C8+C9+C10+C11+C12+C15+C16</f>
        <v>177099.71</v>
      </c>
      <c r="D17" s="43">
        <f t="shared" si="7"/>
        <v>191305.91999999998</v>
      </c>
      <c r="E17" s="44">
        <f t="shared" si="7"/>
        <v>170544.53000000003</v>
      </c>
      <c r="F17" s="43">
        <f t="shared" si="7"/>
        <v>538950.16</v>
      </c>
      <c r="G17" s="45">
        <f t="shared" si="7"/>
        <v>180758.37</v>
      </c>
      <c r="H17" s="43">
        <f t="shared" si="7"/>
        <v>176613</v>
      </c>
      <c r="I17" s="45">
        <f t="shared" si="7"/>
        <v>179588.57</v>
      </c>
      <c r="J17" s="43">
        <f t="shared" si="7"/>
        <v>536959.94000000006</v>
      </c>
      <c r="K17" s="45">
        <f>K8+K9+K10+K11+K12+K15+K16</f>
        <v>177479.76</v>
      </c>
      <c r="L17" s="43">
        <f>L8+L9+L10+L11+L12+L15+L16</f>
        <v>183916.14</v>
      </c>
      <c r="M17" s="43">
        <f>M8+M9+M10+M11+M12+M15+M16</f>
        <v>181360.08999999997</v>
      </c>
      <c r="N17" s="43">
        <f>N8+N9+N10+N11+N12+N15+N16</f>
        <v>542755.99</v>
      </c>
      <c r="O17" s="43">
        <f t="shared" ref="O17:Q17" si="8">O8+O9+O10+O11+O12+O15+O16</f>
        <v>209121</v>
      </c>
      <c r="P17" s="43">
        <f t="shared" si="8"/>
        <v>190888</v>
      </c>
      <c r="Q17" s="44">
        <f t="shared" si="8"/>
        <v>155955.1</v>
      </c>
      <c r="R17" s="43">
        <f>R8+R9+R10+R11+R12+R15+R16</f>
        <v>555964.1</v>
      </c>
      <c r="S17" s="46">
        <f>F17+J17+N17+R17</f>
        <v>2174630.19</v>
      </c>
    </row>
    <row r="18" spans="1:19" ht="15.75" thickBot="1" x14ac:dyDescent="0.3">
      <c r="A18" s="4"/>
      <c r="B18" s="47" t="s">
        <v>34</v>
      </c>
      <c r="C18" s="48"/>
      <c r="D18" s="48"/>
      <c r="E18" s="4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9"/>
      <c r="S18" s="3"/>
    </row>
    <row r="19" spans="1:19" ht="33" customHeight="1" thickBot="1" x14ac:dyDescent="0.3">
      <c r="A19" s="50" t="s">
        <v>6</v>
      </c>
      <c r="B19" s="41" t="s">
        <v>7</v>
      </c>
      <c r="C19" s="7" t="s">
        <v>8</v>
      </c>
      <c r="D19" s="8" t="s">
        <v>9</v>
      </c>
      <c r="E19" s="9" t="s">
        <v>10</v>
      </c>
      <c r="F19" s="10" t="s">
        <v>11</v>
      </c>
      <c r="G19" s="11" t="s">
        <v>12</v>
      </c>
      <c r="H19" s="12" t="s">
        <v>13</v>
      </c>
      <c r="I19" s="13" t="s">
        <v>14</v>
      </c>
      <c r="J19" s="14" t="s">
        <v>15</v>
      </c>
      <c r="K19" s="13" t="s">
        <v>16</v>
      </c>
      <c r="L19" s="15" t="s">
        <v>17</v>
      </c>
      <c r="M19" s="13" t="s">
        <v>18</v>
      </c>
      <c r="N19" s="14" t="s">
        <v>19</v>
      </c>
      <c r="O19" s="13" t="s">
        <v>20</v>
      </c>
      <c r="P19" s="15" t="s">
        <v>21</v>
      </c>
      <c r="Q19" s="13" t="s">
        <v>22</v>
      </c>
      <c r="R19" s="14" t="s">
        <v>23</v>
      </c>
      <c r="S19" s="51" t="s">
        <v>24</v>
      </c>
    </row>
    <row r="20" spans="1:19" ht="15.75" thickBot="1" x14ac:dyDescent="0.3">
      <c r="A20" s="17">
        <v>1</v>
      </c>
      <c r="B20" s="52" t="s">
        <v>35</v>
      </c>
      <c r="C20" s="20">
        <f>50816-1</f>
        <v>50815</v>
      </c>
      <c r="D20" s="19">
        <f>50816+4296.29-162.29</f>
        <v>54950</v>
      </c>
      <c r="E20" s="20">
        <f>50818+1207.8+29.2</f>
        <v>52055</v>
      </c>
      <c r="F20" s="23">
        <f>SUM(C20:E20)</f>
        <v>157820</v>
      </c>
      <c r="G20" s="53">
        <f>50816+74</f>
        <v>50890</v>
      </c>
      <c r="H20" s="19">
        <f>50898+3137.89+384.11</f>
        <v>54420</v>
      </c>
      <c r="I20" s="53">
        <f>50898+227.89-0.89</f>
        <v>51125</v>
      </c>
      <c r="J20" s="23">
        <f t="shared" ref="J20:J37" si="9">SUM(G20:I20)</f>
        <v>156435</v>
      </c>
      <c r="K20" s="53">
        <f>50898+42</f>
        <v>50940</v>
      </c>
      <c r="L20" s="54">
        <f>44886+4617.24+1.76</f>
        <v>49505</v>
      </c>
      <c r="M20" s="53">
        <f>44886+6942+1166-9</f>
        <v>52985</v>
      </c>
      <c r="N20" s="23">
        <f t="shared" ref="N20:N26" si="10">SUM(K20:M20)</f>
        <v>153430</v>
      </c>
      <c r="O20" s="53">
        <f>44886+288.91+1800</f>
        <v>46974.91</v>
      </c>
      <c r="P20" s="19">
        <f>22444-0.1+26995</f>
        <v>49438.9</v>
      </c>
      <c r="Q20" s="53">
        <v>46073</v>
      </c>
      <c r="R20" s="23">
        <f>SUM(O20:Q20)</f>
        <v>142486.81</v>
      </c>
      <c r="S20" s="55">
        <f t="shared" ref="S20:S38" si="11">F20+J20+N20+R20</f>
        <v>610171.81000000006</v>
      </c>
    </row>
    <row r="21" spans="1:19" x14ac:dyDescent="0.25">
      <c r="A21" s="25">
        <v>2</v>
      </c>
      <c r="B21" s="56" t="s">
        <v>36</v>
      </c>
      <c r="C21" s="28">
        <f>18861+4659</f>
        <v>23520</v>
      </c>
      <c r="D21" s="27">
        <f>18861+5739</f>
        <v>24600</v>
      </c>
      <c r="E21" s="28">
        <f>18924+5616</f>
        <v>24540</v>
      </c>
      <c r="F21" s="30">
        <f>SUM(C21:E21)</f>
        <v>72660</v>
      </c>
      <c r="G21" s="57">
        <f>18861+6049</f>
        <v>24910</v>
      </c>
      <c r="H21" s="27">
        <f>18912+1196.74+5876.26</f>
        <v>25985</v>
      </c>
      <c r="I21" s="28">
        <f>18912+6998</f>
        <v>25910</v>
      </c>
      <c r="J21" s="22">
        <f t="shared" si="9"/>
        <v>76805</v>
      </c>
      <c r="K21" s="28">
        <f>18912+6928</f>
        <v>25840</v>
      </c>
      <c r="L21" s="54">
        <f>49678-1153</f>
        <v>48525</v>
      </c>
      <c r="M21" s="28">
        <f>49678+7686-3679</f>
        <v>53685</v>
      </c>
      <c r="N21" s="22">
        <f t="shared" si="10"/>
        <v>128050</v>
      </c>
      <c r="O21" s="28">
        <v>49678</v>
      </c>
      <c r="P21" s="27">
        <f>24839+29885</f>
        <v>54724</v>
      </c>
      <c r="Q21" s="28">
        <v>51001</v>
      </c>
      <c r="R21" s="22">
        <f>SUM(O21:Q21)</f>
        <v>155403</v>
      </c>
      <c r="S21" s="58">
        <f t="shared" si="11"/>
        <v>432918</v>
      </c>
    </row>
    <row r="22" spans="1:19" x14ac:dyDescent="0.25">
      <c r="A22" s="25">
        <v>2</v>
      </c>
      <c r="B22" s="56" t="s">
        <v>37</v>
      </c>
      <c r="C22" s="28">
        <f>14352-4596</f>
        <v>9756</v>
      </c>
      <c r="D22" s="27">
        <f>14352+1435-6653</f>
        <v>9134</v>
      </c>
      <c r="E22" s="28">
        <f>14352-1435-4741</f>
        <v>8176</v>
      </c>
      <c r="F22" s="30">
        <f t="shared" ref="F22" si="12">SUM(C22:E22)</f>
        <v>27066</v>
      </c>
      <c r="G22" s="57">
        <f>14352-7073</f>
        <v>7279</v>
      </c>
      <c r="H22" s="27">
        <f>14375-5888</f>
        <v>8487</v>
      </c>
      <c r="I22" s="28">
        <f>14375-7017</f>
        <v>7358</v>
      </c>
      <c r="J22" s="22">
        <f t="shared" si="9"/>
        <v>23124</v>
      </c>
      <c r="K22" s="28">
        <f>14375-7108</f>
        <v>7267</v>
      </c>
      <c r="L22" s="27">
        <f>5205+1101</f>
        <v>6306</v>
      </c>
      <c r="M22" s="28">
        <f>5205+984+3261</f>
        <v>9450</v>
      </c>
      <c r="N22" s="22">
        <f t="shared" si="10"/>
        <v>23023</v>
      </c>
      <c r="O22" s="28">
        <v>5205</v>
      </c>
      <c r="P22" s="27">
        <f>2604+3144</f>
        <v>5748</v>
      </c>
      <c r="Q22" s="28">
        <v>5331</v>
      </c>
      <c r="R22" s="22">
        <f>SUM(O22:Q22)</f>
        <v>16284</v>
      </c>
      <c r="S22" s="58">
        <f t="shared" si="11"/>
        <v>89497</v>
      </c>
    </row>
    <row r="23" spans="1:19" x14ac:dyDescent="0.25">
      <c r="A23" s="25"/>
      <c r="B23" s="59"/>
      <c r="C23" s="60">
        <f>SUM(C21:C22)</f>
        <v>33276</v>
      </c>
      <c r="D23" s="30">
        <f>SUM(D21:D22)</f>
        <v>33734</v>
      </c>
      <c r="E23" s="60">
        <f>SUM(E21:E22)</f>
        <v>32716</v>
      </c>
      <c r="F23" s="30">
        <f>SUM(C23:E23)</f>
        <v>99726</v>
      </c>
      <c r="G23" s="60">
        <f>SUM(G21:G22)</f>
        <v>32189</v>
      </c>
      <c r="H23" s="30">
        <f>SUM(H21:H22)</f>
        <v>34472</v>
      </c>
      <c r="I23" s="60">
        <f>SUM(I21:I22)</f>
        <v>33268</v>
      </c>
      <c r="J23" s="22">
        <f t="shared" si="9"/>
        <v>99929</v>
      </c>
      <c r="K23" s="60">
        <f>SUM(K21:K22)</f>
        <v>33107</v>
      </c>
      <c r="L23" s="30">
        <f>SUM(L21:L22)</f>
        <v>54831</v>
      </c>
      <c r="M23" s="60">
        <f>SUM(M21:M22)</f>
        <v>63135</v>
      </c>
      <c r="N23" s="22">
        <f t="shared" si="10"/>
        <v>151073</v>
      </c>
      <c r="O23" s="60">
        <f>SUM(O21:O22)</f>
        <v>54883</v>
      </c>
      <c r="P23" s="30">
        <f>SUM(P21:P22)</f>
        <v>60472</v>
      </c>
      <c r="Q23" s="60">
        <f>SUM(Q21:Q22)</f>
        <v>56332</v>
      </c>
      <c r="R23" s="22">
        <f>SUM(R21:R22)</f>
        <v>171687</v>
      </c>
      <c r="S23" s="58">
        <f t="shared" si="11"/>
        <v>522415</v>
      </c>
    </row>
    <row r="24" spans="1:19" x14ac:dyDescent="0.25">
      <c r="A24" s="25">
        <v>3</v>
      </c>
      <c r="B24" s="56" t="s">
        <v>38</v>
      </c>
      <c r="C24" s="28">
        <f>240-240</f>
        <v>0</v>
      </c>
      <c r="D24" s="27">
        <v>240</v>
      </c>
      <c r="E24" s="28">
        <f>240-60</f>
        <v>180</v>
      </c>
      <c r="F24" s="30">
        <f>SUM(C24:E24)</f>
        <v>420</v>
      </c>
      <c r="G24" s="28">
        <f>240-180</f>
        <v>60</v>
      </c>
      <c r="H24" s="27">
        <v>300</v>
      </c>
      <c r="I24" s="28">
        <f>300-95</f>
        <v>205</v>
      </c>
      <c r="J24" s="22">
        <f>SUM(G24:I24)</f>
        <v>565</v>
      </c>
      <c r="K24" s="28">
        <f>300-200</f>
        <v>100</v>
      </c>
      <c r="L24" s="27">
        <f>180-60</f>
        <v>120</v>
      </c>
      <c r="M24" s="28">
        <f>180-120</f>
        <v>60</v>
      </c>
      <c r="N24" s="22">
        <f t="shared" si="10"/>
        <v>280</v>
      </c>
      <c r="O24" s="28">
        <v>180</v>
      </c>
      <c r="P24" s="27">
        <f>231+120</f>
        <v>351</v>
      </c>
      <c r="Q24" s="28">
        <v>236</v>
      </c>
      <c r="R24" s="22">
        <f>SUM(O24:Q24)</f>
        <v>767</v>
      </c>
      <c r="S24" s="58">
        <f t="shared" si="11"/>
        <v>2032</v>
      </c>
    </row>
    <row r="25" spans="1:19" x14ac:dyDescent="0.25">
      <c r="A25" s="25">
        <v>4</v>
      </c>
      <c r="B25" s="56" t="s">
        <v>39</v>
      </c>
      <c r="C25" s="28">
        <f>17731-299-6168</f>
        <v>11264</v>
      </c>
      <c r="D25" s="27">
        <f>17731-6497</f>
        <v>11234</v>
      </c>
      <c r="E25" s="28">
        <f>17731-6117</f>
        <v>11614</v>
      </c>
      <c r="F25" s="30">
        <f t="shared" ref="F25:F26" si="13">SUM(C25:E25)</f>
        <v>34112</v>
      </c>
      <c r="G25" s="28">
        <f>17731-6588</f>
        <v>11143</v>
      </c>
      <c r="H25" s="27">
        <f>17760-1825</f>
        <v>15935</v>
      </c>
      <c r="I25" s="28">
        <f>17760+593-3490</f>
        <v>14863</v>
      </c>
      <c r="J25" s="22">
        <f t="shared" si="9"/>
        <v>41941</v>
      </c>
      <c r="K25" s="28">
        <f>17760-2778</f>
        <v>14982</v>
      </c>
      <c r="L25" s="27">
        <f>6451-49</f>
        <v>6402</v>
      </c>
      <c r="M25" s="28">
        <f>6451+1220-112</f>
        <v>7559</v>
      </c>
      <c r="N25" s="22">
        <f t="shared" si="10"/>
        <v>28943</v>
      </c>
      <c r="O25" s="28">
        <v>6451</v>
      </c>
      <c r="P25" s="27">
        <f>3228+3896</f>
        <v>7124</v>
      </c>
      <c r="Q25" s="28">
        <v>6608</v>
      </c>
      <c r="R25" s="22">
        <f>SUM(O25:Q25)</f>
        <v>20183</v>
      </c>
      <c r="S25" s="58">
        <f t="shared" si="11"/>
        <v>125179</v>
      </c>
    </row>
    <row r="26" spans="1:19" x14ac:dyDescent="0.25">
      <c r="A26" s="25">
        <v>4</v>
      </c>
      <c r="B26" s="56" t="s">
        <v>40</v>
      </c>
      <c r="C26" s="28">
        <f>1631-11</f>
        <v>1620</v>
      </c>
      <c r="D26" s="27">
        <f>1631-1</f>
        <v>1630</v>
      </c>
      <c r="E26" s="28">
        <f>1632-2</f>
        <v>1630</v>
      </c>
      <c r="F26" s="30">
        <f t="shared" si="13"/>
        <v>4880</v>
      </c>
      <c r="G26" s="28">
        <f>1631-1</f>
        <v>1630</v>
      </c>
      <c r="H26" s="27">
        <f>1613-13</f>
        <v>1600</v>
      </c>
      <c r="I26" s="28">
        <f>1613-63</f>
        <v>1550</v>
      </c>
      <c r="J26" s="22">
        <f t="shared" si="9"/>
        <v>4780</v>
      </c>
      <c r="K26" s="28">
        <f>1613-3</f>
        <v>1610</v>
      </c>
      <c r="L26" s="27">
        <v>0</v>
      </c>
      <c r="M26" s="28">
        <v>0</v>
      </c>
      <c r="N26" s="22">
        <f t="shared" si="10"/>
        <v>1610</v>
      </c>
      <c r="O26" s="28">
        <v>0</v>
      </c>
      <c r="P26" s="27">
        <v>0</v>
      </c>
      <c r="Q26" s="28">
        <v>0</v>
      </c>
      <c r="R26" s="22">
        <f>SUM(O26:Q26)</f>
        <v>0</v>
      </c>
      <c r="S26" s="58">
        <f t="shared" si="11"/>
        <v>11270</v>
      </c>
    </row>
    <row r="27" spans="1:19" x14ac:dyDescent="0.25">
      <c r="A27" s="25"/>
      <c r="B27" s="59"/>
      <c r="C27" s="60">
        <f>SUM(C25:C26)</f>
        <v>12884</v>
      </c>
      <c r="D27" s="30">
        <f>SUM(D25:D26)</f>
        <v>12864</v>
      </c>
      <c r="E27" s="60">
        <f>SUM(E25:E26)</f>
        <v>13244</v>
      </c>
      <c r="F27" s="30">
        <f>SUM(C27:E27)</f>
        <v>38992</v>
      </c>
      <c r="G27" s="60">
        <f>SUM(G25:G26)</f>
        <v>12773</v>
      </c>
      <c r="H27" s="30">
        <f>SUM(H25:H26)</f>
        <v>17535</v>
      </c>
      <c r="I27" s="60">
        <f>SUM(I25:I26)</f>
        <v>16413</v>
      </c>
      <c r="J27" s="22">
        <f t="shared" si="9"/>
        <v>46721</v>
      </c>
      <c r="K27" s="60">
        <f t="shared" ref="K27:R27" si="14">SUM(K25:K26)</f>
        <v>16592</v>
      </c>
      <c r="L27" s="30">
        <f t="shared" si="14"/>
        <v>6402</v>
      </c>
      <c r="M27" s="60">
        <f t="shared" si="14"/>
        <v>7559</v>
      </c>
      <c r="N27" s="22">
        <f t="shared" si="14"/>
        <v>30553</v>
      </c>
      <c r="O27" s="60">
        <f t="shared" si="14"/>
        <v>6451</v>
      </c>
      <c r="P27" s="30">
        <f t="shared" si="14"/>
        <v>7124</v>
      </c>
      <c r="Q27" s="60">
        <f t="shared" si="14"/>
        <v>6608</v>
      </c>
      <c r="R27" s="22">
        <f t="shared" si="14"/>
        <v>20183</v>
      </c>
      <c r="S27" s="58">
        <f t="shared" si="11"/>
        <v>136449</v>
      </c>
    </row>
    <row r="28" spans="1:19" x14ac:dyDescent="0.25">
      <c r="A28" s="25">
        <v>5</v>
      </c>
      <c r="B28" s="56" t="s">
        <v>41</v>
      </c>
      <c r="C28" s="57">
        <v>0</v>
      </c>
      <c r="D28" s="61">
        <v>0</v>
      </c>
      <c r="E28" s="57">
        <v>0</v>
      </c>
      <c r="F28" s="30">
        <f>SUM(C28:E28)</f>
        <v>0</v>
      </c>
      <c r="G28" s="57">
        <v>0</v>
      </c>
      <c r="H28" s="61">
        <v>0</v>
      </c>
      <c r="I28" s="57">
        <v>0</v>
      </c>
      <c r="J28" s="22">
        <f>SUM(G28:I28)</f>
        <v>0</v>
      </c>
      <c r="K28" s="57">
        <v>0</v>
      </c>
      <c r="L28" s="61">
        <v>1680</v>
      </c>
      <c r="M28" s="57">
        <f>1680-25</f>
        <v>1655</v>
      </c>
      <c r="N28" s="22">
        <f t="shared" ref="N28:N35" si="15">SUM(K28:M28)</f>
        <v>3335</v>
      </c>
      <c r="O28" s="57">
        <v>1680</v>
      </c>
      <c r="P28" s="61">
        <f>954+1020</f>
        <v>1974</v>
      </c>
      <c r="Q28" s="57">
        <v>1782</v>
      </c>
      <c r="R28" s="22">
        <f t="shared" ref="R28:R38" si="16">SUM(O28:Q28)</f>
        <v>5436</v>
      </c>
      <c r="S28" s="58">
        <f t="shared" si="11"/>
        <v>8771</v>
      </c>
    </row>
    <row r="29" spans="1:19" x14ac:dyDescent="0.25">
      <c r="A29" s="25">
        <v>6</v>
      </c>
      <c r="B29" s="56" t="s">
        <v>42</v>
      </c>
      <c r="C29" s="28">
        <f>4092-7</f>
        <v>4085</v>
      </c>
      <c r="D29" s="27">
        <f>4092+8</f>
        <v>4100</v>
      </c>
      <c r="E29" s="28">
        <f>4092+21</f>
        <v>4113</v>
      </c>
      <c r="F29" s="30">
        <f t="shared" ref="F29:F35" si="17">SUM(C29:E29)</f>
        <v>12298</v>
      </c>
      <c r="G29" s="28">
        <f>4092-53</f>
        <v>4039</v>
      </c>
      <c r="H29" s="27">
        <f>4098+6</f>
        <v>4104</v>
      </c>
      <c r="I29" s="28">
        <f>4098-38</f>
        <v>4060</v>
      </c>
      <c r="J29" s="22">
        <f t="shared" si="9"/>
        <v>12203</v>
      </c>
      <c r="K29" s="28">
        <f>4098-369</f>
        <v>3729</v>
      </c>
      <c r="L29" s="27">
        <f>2923-7</f>
        <v>2916</v>
      </c>
      <c r="M29" s="28">
        <f>2923+553-9</f>
        <v>3467</v>
      </c>
      <c r="N29" s="22">
        <f t="shared" si="15"/>
        <v>10112</v>
      </c>
      <c r="O29" s="28">
        <v>2923</v>
      </c>
      <c r="P29" s="27">
        <f>1461+1765</f>
        <v>3226</v>
      </c>
      <c r="Q29" s="28">
        <v>2993</v>
      </c>
      <c r="R29" s="22">
        <f t="shared" si="16"/>
        <v>9142</v>
      </c>
      <c r="S29" s="58">
        <f t="shared" si="11"/>
        <v>43755</v>
      </c>
    </row>
    <row r="30" spans="1:19" x14ac:dyDescent="0.25">
      <c r="A30" s="25">
        <v>7</v>
      </c>
      <c r="B30" s="56" t="s">
        <v>43</v>
      </c>
      <c r="C30" s="28">
        <f>480+60</f>
        <v>540</v>
      </c>
      <c r="D30" s="27">
        <v>480</v>
      </c>
      <c r="E30" s="28">
        <v>480</v>
      </c>
      <c r="F30" s="30">
        <f>SUM(C30:E30)</f>
        <v>1500</v>
      </c>
      <c r="G30" s="28">
        <f>480-240</f>
        <v>240</v>
      </c>
      <c r="H30" s="27">
        <f>480+60</f>
        <v>540</v>
      </c>
      <c r="I30" s="28">
        <v>480</v>
      </c>
      <c r="J30" s="22">
        <f>SUM(G30:I30)</f>
        <v>1260</v>
      </c>
      <c r="K30" s="28">
        <f>480-20</f>
        <v>460</v>
      </c>
      <c r="L30" s="27">
        <f>180-60</f>
        <v>120</v>
      </c>
      <c r="M30" s="28">
        <v>180</v>
      </c>
      <c r="N30" s="22">
        <f t="shared" si="15"/>
        <v>760</v>
      </c>
      <c r="O30" s="28">
        <v>180</v>
      </c>
      <c r="P30" s="27">
        <f>199+120</f>
        <v>319</v>
      </c>
      <c r="Q30" s="28">
        <v>222</v>
      </c>
      <c r="R30" s="22">
        <f t="shared" si="16"/>
        <v>721</v>
      </c>
      <c r="S30" s="58">
        <f t="shared" si="11"/>
        <v>4241</v>
      </c>
    </row>
    <row r="31" spans="1:19" x14ac:dyDescent="0.25">
      <c r="A31" s="25">
        <v>8</v>
      </c>
      <c r="B31" s="56" t="s">
        <v>44</v>
      </c>
      <c r="C31" s="28">
        <f>8125+2026</f>
        <v>10151</v>
      </c>
      <c r="D31" s="27">
        <f>8125+1780</f>
        <v>9905</v>
      </c>
      <c r="E31" s="28">
        <f>8125+102+1684</f>
        <v>9911</v>
      </c>
      <c r="F31" s="30">
        <f t="shared" si="17"/>
        <v>29967</v>
      </c>
      <c r="G31" s="28">
        <f>8125+30</f>
        <v>8155</v>
      </c>
      <c r="H31" s="27">
        <f>8137+719</f>
        <v>8856</v>
      </c>
      <c r="I31" s="28">
        <f>8137+32+1478</f>
        <v>9647</v>
      </c>
      <c r="J31" s="22">
        <f t="shared" si="9"/>
        <v>26658</v>
      </c>
      <c r="K31" s="28">
        <f>8137-1062</f>
        <v>7075</v>
      </c>
      <c r="L31" s="27">
        <f>4751+107</f>
        <v>4858</v>
      </c>
      <c r="M31" s="28">
        <f>4751+899-205</f>
        <v>5445</v>
      </c>
      <c r="N31" s="22">
        <f t="shared" si="15"/>
        <v>17378</v>
      </c>
      <c r="O31" s="28">
        <v>4751</v>
      </c>
      <c r="P31" s="27">
        <f>2377+2868</f>
        <v>5245</v>
      </c>
      <c r="Q31" s="28">
        <v>4867</v>
      </c>
      <c r="R31" s="22">
        <f t="shared" si="16"/>
        <v>14863</v>
      </c>
      <c r="S31" s="58">
        <f t="shared" si="11"/>
        <v>88866</v>
      </c>
    </row>
    <row r="32" spans="1:19" x14ac:dyDescent="0.25">
      <c r="A32" s="25">
        <v>9</v>
      </c>
      <c r="B32" s="56" t="s">
        <v>45</v>
      </c>
      <c r="C32" s="28">
        <f>720+200</f>
        <v>920</v>
      </c>
      <c r="D32" s="27">
        <f>720+72-32</f>
        <v>760</v>
      </c>
      <c r="E32" s="28">
        <f>720-72-28</f>
        <v>620</v>
      </c>
      <c r="F32" s="30">
        <f>SUM(C32:E32)</f>
        <v>2300</v>
      </c>
      <c r="G32" s="28">
        <f>720+140</f>
        <v>860</v>
      </c>
      <c r="H32" s="27">
        <f>720+80</f>
        <v>800</v>
      </c>
      <c r="I32" s="28">
        <f>720-520</f>
        <v>200</v>
      </c>
      <c r="J32" s="22">
        <f>SUM(G32:I32)</f>
        <v>1860</v>
      </c>
      <c r="K32" s="28">
        <f>720-100</f>
        <v>620</v>
      </c>
      <c r="L32" s="27">
        <f>600+40</f>
        <v>640</v>
      </c>
      <c r="M32" s="28">
        <v>600</v>
      </c>
      <c r="N32" s="22">
        <f t="shared" si="15"/>
        <v>1860</v>
      </c>
      <c r="O32" s="28">
        <v>600</v>
      </c>
      <c r="P32" s="27">
        <f>474+386</f>
        <v>860</v>
      </c>
      <c r="Q32" s="28">
        <v>674</v>
      </c>
      <c r="R32" s="22">
        <f t="shared" si="16"/>
        <v>2134</v>
      </c>
      <c r="S32" s="58">
        <f t="shared" si="11"/>
        <v>8154</v>
      </c>
    </row>
    <row r="33" spans="1:19" x14ac:dyDescent="0.25">
      <c r="A33" s="25">
        <v>10</v>
      </c>
      <c r="B33" s="56" t="s">
        <v>46</v>
      </c>
      <c r="C33" s="28">
        <v>540</v>
      </c>
      <c r="D33" s="27">
        <v>540</v>
      </c>
      <c r="E33" s="28">
        <v>540</v>
      </c>
      <c r="F33" s="30">
        <f t="shared" si="17"/>
        <v>1620</v>
      </c>
      <c r="G33" s="28">
        <v>540</v>
      </c>
      <c r="H33" s="27">
        <v>540</v>
      </c>
      <c r="I33" s="28">
        <v>540</v>
      </c>
      <c r="J33" s="22">
        <f t="shared" si="9"/>
        <v>1620</v>
      </c>
      <c r="K33" s="28">
        <v>540</v>
      </c>
      <c r="L33" s="27">
        <f>240-50</f>
        <v>190</v>
      </c>
      <c r="M33" s="28">
        <v>240</v>
      </c>
      <c r="N33" s="22">
        <f t="shared" si="15"/>
        <v>970</v>
      </c>
      <c r="O33" s="28">
        <v>240</v>
      </c>
      <c r="P33" s="27">
        <f>237+160</f>
        <v>397</v>
      </c>
      <c r="Q33" s="28">
        <v>283</v>
      </c>
      <c r="R33" s="22">
        <f t="shared" si="16"/>
        <v>920</v>
      </c>
      <c r="S33" s="58">
        <f t="shared" si="11"/>
        <v>5130</v>
      </c>
    </row>
    <row r="34" spans="1:19" x14ac:dyDescent="0.25">
      <c r="A34" s="31">
        <v>11</v>
      </c>
      <c r="B34" s="62" t="s">
        <v>47</v>
      </c>
      <c r="C34" s="39">
        <f>240+60</f>
        <v>300</v>
      </c>
      <c r="D34" s="38">
        <v>240</v>
      </c>
      <c r="E34" s="39">
        <v>240</v>
      </c>
      <c r="F34" s="30">
        <f t="shared" si="17"/>
        <v>780</v>
      </c>
      <c r="G34" s="39">
        <f>240-120</f>
        <v>120</v>
      </c>
      <c r="H34" s="38">
        <v>300</v>
      </c>
      <c r="I34" s="39">
        <v>240</v>
      </c>
      <c r="J34" s="22">
        <f t="shared" si="9"/>
        <v>660</v>
      </c>
      <c r="K34" s="39">
        <v>240</v>
      </c>
      <c r="L34" s="38">
        <v>120</v>
      </c>
      <c r="M34" s="39">
        <v>120</v>
      </c>
      <c r="N34" s="22">
        <f t="shared" si="15"/>
        <v>480</v>
      </c>
      <c r="O34" s="39">
        <f>120+303+216</f>
        <v>639</v>
      </c>
      <c r="P34" s="38">
        <f>243+60-303</f>
        <v>0</v>
      </c>
      <c r="Q34" s="39">
        <f>216-216</f>
        <v>0</v>
      </c>
      <c r="R34" s="22">
        <f t="shared" si="16"/>
        <v>639</v>
      </c>
      <c r="S34" s="58">
        <f t="shared" si="11"/>
        <v>2559</v>
      </c>
    </row>
    <row r="35" spans="1:19" x14ac:dyDescent="0.25">
      <c r="A35" s="31">
        <v>11</v>
      </c>
      <c r="B35" s="62" t="s">
        <v>48</v>
      </c>
      <c r="C35" s="39">
        <f>163-63</f>
        <v>100</v>
      </c>
      <c r="D35" s="38">
        <f>163-3</f>
        <v>160</v>
      </c>
      <c r="E35" s="39">
        <f>164+3-7</f>
        <v>160</v>
      </c>
      <c r="F35" s="30">
        <f t="shared" si="17"/>
        <v>420</v>
      </c>
      <c r="G35" s="39">
        <f>163-23</f>
        <v>140</v>
      </c>
      <c r="H35" s="38">
        <f>161-11</f>
        <v>150</v>
      </c>
      <c r="I35" s="39">
        <f>161+11-12</f>
        <v>160</v>
      </c>
      <c r="J35" s="22">
        <f t="shared" si="9"/>
        <v>450</v>
      </c>
      <c r="K35" s="39">
        <f>161-1</f>
        <v>160</v>
      </c>
      <c r="L35" s="38">
        <v>0</v>
      </c>
      <c r="M35" s="39">
        <v>0</v>
      </c>
      <c r="N35" s="22">
        <f t="shared" si="15"/>
        <v>160</v>
      </c>
      <c r="O35" s="39">
        <v>0</v>
      </c>
      <c r="P35" s="38">
        <v>0</v>
      </c>
      <c r="Q35" s="39">
        <v>0</v>
      </c>
      <c r="R35" s="22">
        <f t="shared" si="16"/>
        <v>0</v>
      </c>
      <c r="S35" s="58">
        <f t="shared" si="11"/>
        <v>1030</v>
      </c>
    </row>
    <row r="36" spans="1:19" x14ac:dyDescent="0.25">
      <c r="A36" s="31"/>
      <c r="B36" s="63"/>
      <c r="C36" s="34">
        <f>SUM(C34:C35)</f>
        <v>400</v>
      </c>
      <c r="D36" s="33">
        <f>SUM(D34:D35)</f>
        <v>400</v>
      </c>
      <c r="E36" s="34">
        <f>SUM(E34:E35)</f>
        <v>400</v>
      </c>
      <c r="F36" s="30">
        <f>SUM(C36:E36)</f>
        <v>1200</v>
      </c>
      <c r="G36" s="34">
        <f>SUM(G34:G35)</f>
        <v>260</v>
      </c>
      <c r="H36" s="33">
        <f>SUM(H34:H35)</f>
        <v>450</v>
      </c>
      <c r="I36" s="34">
        <f>SUM(I34:I35)</f>
        <v>400</v>
      </c>
      <c r="J36" s="22">
        <f t="shared" si="9"/>
        <v>1110</v>
      </c>
      <c r="K36" s="34">
        <f t="shared" ref="K36:Q36" si="18">SUM(K34:K35)</f>
        <v>400</v>
      </c>
      <c r="L36" s="33">
        <f t="shared" si="18"/>
        <v>120</v>
      </c>
      <c r="M36" s="34">
        <f t="shared" si="18"/>
        <v>120</v>
      </c>
      <c r="N36" s="22">
        <f t="shared" si="18"/>
        <v>640</v>
      </c>
      <c r="O36" s="34">
        <f t="shared" si="18"/>
        <v>639</v>
      </c>
      <c r="P36" s="33">
        <f t="shared" si="18"/>
        <v>0</v>
      </c>
      <c r="Q36" s="34">
        <f t="shared" si="18"/>
        <v>0</v>
      </c>
      <c r="R36" s="22">
        <f t="shared" si="16"/>
        <v>639</v>
      </c>
      <c r="S36" s="58">
        <f t="shared" si="11"/>
        <v>3589</v>
      </c>
    </row>
    <row r="37" spans="1:19" x14ac:dyDescent="0.25">
      <c r="A37" s="25">
        <v>12</v>
      </c>
      <c r="B37" s="56" t="s">
        <v>49</v>
      </c>
      <c r="C37" s="28">
        <v>120</v>
      </c>
      <c r="D37" s="27">
        <v>120</v>
      </c>
      <c r="E37" s="28">
        <f>120-60</f>
        <v>60</v>
      </c>
      <c r="F37" s="30">
        <f t="shared" ref="F37" si="19">SUM(C37:E37)</f>
        <v>300</v>
      </c>
      <c r="G37" s="28">
        <f>120+60</f>
        <v>180</v>
      </c>
      <c r="H37" s="27">
        <v>120</v>
      </c>
      <c r="I37" s="28">
        <v>120</v>
      </c>
      <c r="J37" s="30">
        <f t="shared" si="9"/>
        <v>420</v>
      </c>
      <c r="K37" s="28">
        <v>120</v>
      </c>
      <c r="L37" s="27">
        <v>120</v>
      </c>
      <c r="M37" s="28">
        <v>120</v>
      </c>
      <c r="N37" s="30">
        <f>SUM(K37:M37)</f>
        <v>360</v>
      </c>
      <c r="O37" s="28">
        <v>120</v>
      </c>
      <c r="P37" s="27">
        <f>243+60</f>
        <v>303</v>
      </c>
      <c r="Q37" s="28">
        <v>216</v>
      </c>
      <c r="R37" s="30">
        <f t="shared" si="16"/>
        <v>639</v>
      </c>
      <c r="S37" s="58">
        <f t="shared" si="11"/>
        <v>1719</v>
      </c>
    </row>
    <row r="38" spans="1:19" ht="15.75" thickBot="1" x14ac:dyDescent="0.3">
      <c r="A38" s="31">
        <v>13</v>
      </c>
      <c r="B38" s="64" t="s">
        <v>50</v>
      </c>
      <c r="C38" s="39">
        <v>0</v>
      </c>
      <c r="D38" s="65">
        <v>0</v>
      </c>
      <c r="E38" s="39">
        <v>0</v>
      </c>
      <c r="F38" s="66">
        <f>SUM(C38:E38)</f>
        <v>0</v>
      </c>
      <c r="G38" s="39">
        <v>0</v>
      </c>
      <c r="H38" s="65">
        <v>0</v>
      </c>
      <c r="I38" s="39">
        <v>0</v>
      </c>
      <c r="J38" s="66">
        <f>SUM(G38:I38)</f>
        <v>0</v>
      </c>
      <c r="K38" s="39">
        <v>0</v>
      </c>
      <c r="L38" s="65">
        <f>2700-2700</f>
        <v>0</v>
      </c>
      <c r="M38" s="39">
        <v>0</v>
      </c>
      <c r="N38" s="66">
        <f>SUM(K38:M38)</f>
        <v>0</v>
      </c>
      <c r="O38" s="39">
        <f>2700-1800</f>
        <v>900</v>
      </c>
      <c r="P38" s="65">
        <f>279+1521</f>
        <v>1800</v>
      </c>
      <c r="Q38" s="39">
        <v>2377</v>
      </c>
      <c r="R38" s="66">
        <f t="shared" si="16"/>
        <v>5077</v>
      </c>
      <c r="S38" s="67">
        <f t="shared" si="11"/>
        <v>5077</v>
      </c>
    </row>
    <row r="39" spans="1:19" ht="15.75" thickBot="1" x14ac:dyDescent="0.3">
      <c r="A39" s="68"/>
      <c r="B39" s="69" t="s">
        <v>33</v>
      </c>
      <c r="C39" s="45">
        <f t="shared" ref="C39:K39" si="20">C20+C23+C27+C29+C31+C33+C30+C32+C24+C36+C37</f>
        <v>113731</v>
      </c>
      <c r="D39" s="43">
        <f t="shared" si="20"/>
        <v>118093</v>
      </c>
      <c r="E39" s="45">
        <f t="shared" si="20"/>
        <v>114319</v>
      </c>
      <c r="F39" s="43">
        <f t="shared" si="20"/>
        <v>346143</v>
      </c>
      <c r="G39" s="45">
        <f t="shared" si="20"/>
        <v>110186</v>
      </c>
      <c r="H39" s="43">
        <f t="shared" si="20"/>
        <v>122137</v>
      </c>
      <c r="I39" s="43">
        <f t="shared" si="20"/>
        <v>116458</v>
      </c>
      <c r="J39" s="45">
        <f t="shared" si="20"/>
        <v>348781</v>
      </c>
      <c r="K39" s="43">
        <f t="shared" si="20"/>
        <v>113683</v>
      </c>
      <c r="L39" s="45">
        <f>L20+L23+L24+L27+L28+L29+L30+L31+L32+L33+L36+L37+L38</f>
        <v>121502</v>
      </c>
      <c r="M39" s="45">
        <f>M20+M23+M24+M27+M28+M29+M30+M31+M32+M33+M36+M37+M38</f>
        <v>135566</v>
      </c>
      <c r="N39" s="45">
        <f>SUM(K39:M39)</f>
        <v>370751</v>
      </c>
      <c r="O39" s="43">
        <f>O20+O23+O24+O27+O28+O29+O30+O31+O32+O33+O36+O37+O38</f>
        <v>120521.91</v>
      </c>
      <c r="P39" s="43">
        <f t="shared" ref="P39" si="21">P20+P23+P24+P27+P28+P29+P30+P31+P32+P33+P36+P37+P38</f>
        <v>131509.9</v>
      </c>
      <c r="Q39" s="43">
        <f>Q20+Q23+Q24+Q27+Q28+Q29+Q30+Q31+Q32+Q33+Q36+Q37+Q38</f>
        <v>122663</v>
      </c>
      <c r="R39" s="43">
        <f>R20+R23+R24+R27+R28+R29+R30+R31+R32+R33+R36+R37+R38</f>
        <v>374694.81</v>
      </c>
      <c r="S39" s="43">
        <f>S20+S23+S24+S27+S28+S29+S30+S31+S32+S33+S36+S37+S38</f>
        <v>1440369.81</v>
      </c>
    </row>
    <row r="40" spans="1:19" ht="15.75" thickBot="1" x14ac:dyDescent="0.3">
      <c r="A40" s="70"/>
      <c r="B40" s="71" t="s">
        <v>51</v>
      </c>
      <c r="C40" s="43">
        <f t="shared" ref="C40:K40" si="22">C17+C39</f>
        <v>290830.70999999996</v>
      </c>
      <c r="D40" s="43">
        <f t="shared" si="22"/>
        <v>309398.92</v>
      </c>
      <c r="E40" s="43">
        <f t="shared" si="22"/>
        <v>284863.53000000003</v>
      </c>
      <c r="F40" s="43">
        <f t="shared" si="22"/>
        <v>885093.16</v>
      </c>
      <c r="G40" s="72">
        <f t="shared" si="22"/>
        <v>290944.37</v>
      </c>
      <c r="H40" s="73">
        <f t="shared" si="22"/>
        <v>298750</v>
      </c>
      <c r="I40" s="74">
        <f t="shared" si="22"/>
        <v>296046.57</v>
      </c>
      <c r="J40" s="72">
        <f t="shared" si="22"/>
        <v>885740.94000000006</v>
      </c>
      <c r="K40" s="72">
        <f t="shared" si="22"/>
        <v>291162.76</v>
      </c>
      <c r="L40" s="73">
        <f>L17+L39</f>
        <v>305418.14</v>
      </c>
      <c r="M40" s="73">
        <f>M17+M39</f>
        <v>316926.08999999997</v>
      </c>
      <c r="N40" s="73">
        <f>SUM(K40:M40)</f>
        <v>913506.99</v>
      </c>
      <c r="O40" s="74">
        <f>O17+O39</f>
        <v>329642.91000000003</v>
      </c>
      <c r="P40" s="74">
        <f t="shared" ref="P40:R40" si="23">P17+P39</f>
        <v>322397.90000000002</v>
      </c>
      <c r="Q40" s="74">
        <f t="shared" si="23"/>
        <v>278618.09999999998</v>
      </c>
      <c r="R40" s="74">
        <f t="shared" si="23"/>
        <v>930658.90999999992</v>
      </c>
      <c r="S40" s="74">
        <f>S17+S39</f>
        <v>3615000</v>
      </c>
    </row>
    <row r="41" spans="1:19" x14ac:dyDescent="0.25">
      <c r="N41" s="75"/>
      <c r="R41" s="75"/>
      <c r="S41" s="75"/>
    </row>
    <row r="42" spans="1:19" x14ac:dyDescent="0.25">
      <c r="M42" s="75"/>
      <c r="N42" s="75"/>
      <c r="S42" s="75"/>
    </row>
    <row r="43" spans="1:19" x14ac:dyDescent="0.25">
      <c r="N43" s="75"/>
      <c r="R43" s="75"/>
    </row>
    <row r="44" spans="1:19" x14ac:dyDescent="0.25">
      <c r="F44" s="75"/>
      <c r="M44" s="75"/>
      <c r="N44" s="75"/>
      <c r="S44" s="75"/>
    </row>
    <row r="45" spans="1:19" x14ac:dyDescent="0.25">
      <c r="F45" s="75"/>
      <c r="M45" s="75"/>
    </row>
  </sheetData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 sept_realiz+suplim oct</vt:lpstr>
      <vt:lpstr>'Contract sept_realiz+suplim oct'!Print_Area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1</dc:creator>
  <cp:lastModifiedBy>dell 1</cp:lastModifiedBy>
  <dcterms:created xsi:type="dcterms:W3CDTF">2016-11-22T16:40:47Z</dcterms:created>
  <dcterms:modified xsi:type="dcterms:W3CDTF">2016-11-22T16:42:12Z</dcterms:modified>
</cp:coreProperties>
</file>